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DieseArbeitsmappe" defaultThemeVersion="124226"/>
  <bookViews>
    <workbookView xWindow="10455" yWindow="1845" windowWidth="15600" windowHeight="639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P17" i="7" l="1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S12" i="7"/>
  <c r="T12" i="7"/>
  <c r="U12" i="7"/>
  <c r="V12" i="7"/>
  <c r="W12" i="7"/>
  <c r="R12" i="7"/>
  <c r="X12" i="7" l="1"/>
  <c r="X13" i="7"/>
  <c r="X11" i="7"/>
  <c r="X16" i="7"/>
  <c r="X15" i="7"/>
  <c r="X17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6" i="7"/>
  <c r="Q14" i="7"/>
  <c r="Q17" i="7"/>
  <c r="C14" i="7"/>
  <c r="C12" i="7"/>
  <c r="C16" i="7"/>
  <c r="C15" i="7"/>
  <c r="C17" i="7"/>
  <c r="C13" i="7"/>
</calcChain>
</file>

<file path=xl/sharedStrings.xml><?xml version="1.0" encoding="utf-8"?>
<sst xmlns="http://schemas.openxmlformats.org/spreadsheetml/2006/main" count="1358" uniqueCount="670">
  <si>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</si>
  <si>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</si>
  <si>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</si>
  <si>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</si>
  <si>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</si>
  <si>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</si>
  <si>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</si>
  <si>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</si>
  <si>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</si>
  <si>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</si>
  <si>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</si>
  <si>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</si>
  <si>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</si>
  <si>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</si>
  <si>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</si>
  <si>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</si>
  <si>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</si>
  <si>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</si>
  <si>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</si>
  <si>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</si>
  <si>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</si>
  <si>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</si>
  <si>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</si>
  <si>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</si>
  <si>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</si>
  <si>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</si>
  <si>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</si>
  <si>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</si>
  <si>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</si>
  <si>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</si>
  <si>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</si>
  <si>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</si>
  <si>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</si>
  <si>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</si>
  <si>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</si>
  <si>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</si>
  <si>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</si>
  <si>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</si>
  <si>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</si>
  <si>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</si>
  <si>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</si>
  <si>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</si>
  <si>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</si>
  <si>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</si>
  <si>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</si>
  <si>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</si>
  <si>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</si>
  <si>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</si>
  <si>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</si>
  <si>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</si>
  <si>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</si>
  <si>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</si>
  <si>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</si>
  <si>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</si>
  <si>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</si>
  <si>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</si>
  <si>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</si>
  <si>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</si>
  <si>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</si>
  <si>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</si>
  <si>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</si>
  <si>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</si>
  <si>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</si>
  <si>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</si>
  <si>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</si>
  <si>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</si>
  <si>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</si>
  <si>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</si>
  <si>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</si>
  <si>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</si>
  <si>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</si>
  <si>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</si>
  <si>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</si>
  <si>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</si>
  <si>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</si>
  <si>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</si>
  <si>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</si>
  <si>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</si>
  <si>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</si>
  <si>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</si>
  <si>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</si>
  <si>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</si>
  <si>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</si>
  <si>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</si>
  <si>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</si>
  <si>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</si>
  <si>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</si>
  <si>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</si>
  <si>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</si>
  <si>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</si>
  <si>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</si>
  <si>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</si>
  <si>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</si>
  <si>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</si>
  <si>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</si>
  <si>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</si>
  <si>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</si>
  <si>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</si>
  <si>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</si>
  <si>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</si>
  <si>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</si>
  <si>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</si>
  <si>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</si>
  <si>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</si>
  <si>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</si>
  <si>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</si>
  <si>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</si>
  <si>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</si>
  <si>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</si>
  <si>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</si>
  <si>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</si>
  <si>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</si>
  <si>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</si>
  <si>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</si>
  <si>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</si>
  <si>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</si>
  <si>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</si>
  <si>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</si>
  <si>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</si>
  <si>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</si>
  <si>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</si>
  <si>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</si>
  <si>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</si>
  <si>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</si>
  <si>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</si>
  <si>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</si>
  <si>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</si>
  <si>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</si>
  <si>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</si>
  <si>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</si>
  <si>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</si>
  <si>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</si>
  <si>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</si>
  <si>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</si>
  <si>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</si>
  <si>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</si>
  <si>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</si>
  <si>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</si>
  <si>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</si>
  <si>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</si>
  <si>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</si>
  <si>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</si>
  <si>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</si>
  <si>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</si>
  <si>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</si>
  <si>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</si>
  <si>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</si>
  <si>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</si>
  <si>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</si>
  <si>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</si>
  <si>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</si>
  <si>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</si>
  <si>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</si>
  <si>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</si>
  <si>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</si>
  <si>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</si>
  <si>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</si>
  <si>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</si>
  <si>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</si>
  <si>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</si>
  <si>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</si>
  <si>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</si>
  <si>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</si>
  <si>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</si>
  <si>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</si>
  <si>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</si>
  <si>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</si>
  <si>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</si>
  <si>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</si>
  <si>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</si>
  <si>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</si>
  <si>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</si>
  <si>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</si>
  <si>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</si>
  <si>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</si>
  <si>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</si>
  <si>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</si>
  <si>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</si>
  <si>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</si>
  <si>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</si>
  <si>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</si>
  <si>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</si>
  <si>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</si>
  <si>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</si>
  <si>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</si>
  <si>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</si>
  <si>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</si>
  <si>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</si>
  <si>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</si>
  <si>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</si>
  <si>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</si>
  <si>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</si>
  <si>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</si>
  <si>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</si>
  <si>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</si>
  <si>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</si>
  <si>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</si>
  <si>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</si>
  <si>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</si>
  <si>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</si>
  <si>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</si>
  <si>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</si>
  <si>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</si>
  <si>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</si>
  <si>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</si>
  <si>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</si>
  <si>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</si>
  <si>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</si>
  <si>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</si>
  <si>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</si>
  <si>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</si>
  <si>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</si>
  <si>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</si>
  <si>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</si>
  <si>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</si>
  <si>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</si>
  <si>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</si>
  <si>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</si>
  <si>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</si>
  <si>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</si>
  <si>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</si>
  <si>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</si>
  <si>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</si>
  <si>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</si>
  <si>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</si>
  <si>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</si>
  <si>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</si>
  <si>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</si>
  <si>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</si>
  <si>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</si>
  <si>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</si>
  <si>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</si>
  <si>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</si>
  <si>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</si>
  <si>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</si>
  <si>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</si>
  <si>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</si>
  <si>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</si>
  <si>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</si>
  <si>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</si>
  <si>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</si>
  <si>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</si>
  <si>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</si>
  <si>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</si>
  <si>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</si>
  <si>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</si>
  <si>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</si>
  <si>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</si>
  <si>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</si>
  <si>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</si>
  <si>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</si>
  <si>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</si>
  <si>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</si>
  <si>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</si>
  <si>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</si>
  <si>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</si>
  <si>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</si>
  <si>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</si>
  <si>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</si>
  <si>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</si>
  <si>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</si>
  <si>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</si>
  <si>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</si>
  <si>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</si>
  <si>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</si>
  <si>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</si>
  <si>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</si>
  <si>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</si>
  <si>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</si>
  <si>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</si>
  <si>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</si>
  <si>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</si>
  <si>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</si>
  <si>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</si>
  <si>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</si>
  <si>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</si>
  <si>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</si>
  <si>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</si>
  <si>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</si>
  <si>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</si>
  <si>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</si>
  <si>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</si>
  <si>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</si>
  <si>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</si>
  <si>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</si>
  <si>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</si>
  <si>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</si>
  <si>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</si>
  <si>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</si>
  <si>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</si>
  <si>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</si>
  <si>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</si>
  <si>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</si>
  <si>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</si>
  <si>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</si>
  <si>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</si>
  <si>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</si>
  <si>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</si>
  <si>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</si>
  <si>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</si>
  <si>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</si>
  <si>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</si>
  <si>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</si>
  <si>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</si>
  <si>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</si>
  <si>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</si>
  <si>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</si>
  <si>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</si>
  <si>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</si>
  <si>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</si>
  <si>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</si>
  <si>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</si>
  <si>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</si>
  <si>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</si>
  <si>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</si>
  <si>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</si>
  <si>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</si>
  <si>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</si>
  <si>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</si>
  <si>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</si>
  <si>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</si>
  <si>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</si>
  <si>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</si>
  <si>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</si>
  <si>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</si>
  <si>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</si>
  <si>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</si>
  <si>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</si>
  <si>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</si>
  <si>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</si>
  <si>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</si>
  <si>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</si>
  <si>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</si>
  <si>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</si>
  <si>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</si>
  <si>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</si>
  <si>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</si>
  <si>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</si>
  <si>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</si>
  <si>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</si>
  <si>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</si>
  <si>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</si>
  <si>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</si>
  <si>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</si>
  <si>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</si>
  <si>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</si>
  <si>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</si>
  <si>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</si>
  <si>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</si>
  <si>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</si>
  <si>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</si>
  <si>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</si>
  <si>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</si>
  <si>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</si>
  <si>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</si>
  <si>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</si>
  <si>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</si>
  <si>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</si>
  <si>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</si>
  <si>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</si>
  <si>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</si>
  <si>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</si>
  <si>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</si>
  <si>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</si>
  <si>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</si>
  <si>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</si>
  <si>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</si>
  <si>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</si>
  <si>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</si>
  <si>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</si>
  <si>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</si>
  <si>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</si>
  <si>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</si>
  <si>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</si>
  <si>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</si>
  <si>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</si>
  <si>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</si>
  <si>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</si>
  <si>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</si>
  <si>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</si>
  <si>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</si>
  <si>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</si>
  <si>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</si>
  <si>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</si>
  <si>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</si>
  <si>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</si>
  <si>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</si>
  <si>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</si>
  <si>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</si>
  <si>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</si>
  <si>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</si>
  <si>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</si>
  <si>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</si>
  <si>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</si>
  <si>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</si>
  <si>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</si>
  <si>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</si>
  <si>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</si>
  <si>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</si>
  <si>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</si>
  <si>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</si>
  <si>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</si>
  <si>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</si>
  <si>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</si>
  <si>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</si>
  <si>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</si>
  <si>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</si>
  <si>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</si>
  <si>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</si>
  <si>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</si>
  <si>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</si>
  <si>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</si>
  <si>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</si>
  <si>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</si>
  <si>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</si>
  <si>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</si>
  <si>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</si>
  <si>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</si>
  <si>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</si>
  <si>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</si>
  <si>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</si>
  <si>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</si>
  <si>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</si>
  <si>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</si>
  <si>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</si>
  <si>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</si>
  <si>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</si>
  <si>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</si>
  <si>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</si>
  <si>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</si>
  <si>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</si>
  <si>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</si>
  <si>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</si>
  <si>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</si>
  <si>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</si>
  <si>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</si>
  <si>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</si>
  <si>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</si>
  <si>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</si>
  <si>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</si>
  <si>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</si>
  <si>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</si>
  <si>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</si>
  <si>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</si>
  <si>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</si>
  <si>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</si>
  <si>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</si>
  <si>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</si>
  <si>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</si>
  <si>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</si>
  <si>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</si>
  <si>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</si>
  <si>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</si>
  <si>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</si>
  <si>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</si>
  <si>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</si>
  <si>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</si>
  <si>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</si>
  <si>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</si>
  <si>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</si>
  <si>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</si>
  <si>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</si>
  <si>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</si>
  <si>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</si>
  <si>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</si>
  <si>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</si>
  <si>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</si>
  <si>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</si>
  <si>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</si>
  <si>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</si>
  <si>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</si>
  <si>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</si>
  <si>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</si>
  <si>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</si>
  <si>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</si>
  <si>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</si>
  <si>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</si>
  <si>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</si>
  <si>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</si>
  <si>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</si>
  <si>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</si>
  <si>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</si>
  <si>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</si>
  <si>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</si>
  <si>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</si>
  <si>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</si>
  <si>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</si>
  <si>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</si>
  <si>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</si>
  <si>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</si>
  <si>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</si>
  <si>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</si>
  <si>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</si>
  <si>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</si>
  <si>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</si>
  <si>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</si>
  <si>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</si>
  <si>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</si>
  <si>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</si>
  <si>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</si>
  <si>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</si>
  <si>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</si>
  <si>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</si>
  <si>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</si>
  <si>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</si>
  <si>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</si>
  <si>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</si>
  <si>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</si>
  <si>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</si>
  <si>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</si>
  <si>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</si>
  <si>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</si>
  <si>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</si>
  <si>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</si>
  <si>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</si>
  <si>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</si>
  <si>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</si>
  <si>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</si>
  <si>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</si>
  <si>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</si>
  <si>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</si>
  <si>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</si>
  <si>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</si>
  <si>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</si>
  <si>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</si>
  <si>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</si>
  <si>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</si>
  <si>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</si>
  <si>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</si>
  <si>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</si>
  <si>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</si>
  <si>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</si>
  <si>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</si>
  <si>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</si>
  <si>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</si>
  <si>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</si>
  <si>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</si>
  <si>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</si>
  <si>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</si>
  <si>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</si>
  <si>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</si>
  <si>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</si>
  <si>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</si>
  <si>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</si>
  <si>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</si>
  <si>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</si>
  <si>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</si>
  <si>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</si>
  <si>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</si>
  <si>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</si>
  <si>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</si>
  <si>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</si>
  <si>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</si>
  <si>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</si>
  <si>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</si>
  <si>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</si>
  <si>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</si>
  <si>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</si>
  <si>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</si>
  <si>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</si>
  <si>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</si>
  <si>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</si>
  <si>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</si>
  <si>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</si>
  <si>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</si>
  <si>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</si>
  <si>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</si>
  <si>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</si>
  <si>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</si>
  <si>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</si>
  <si>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</si>
  <si>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</si>
  <si>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</si>
  <si>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</si>
  <si>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</si>
  <si>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</si>
  <si>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</si>
  <si>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</si>
  <si>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</si>
  <si>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</si>
  <si>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</si>
  <si>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</si>
  <si>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</si>
  <si>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</si>
  <si>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</si>
  <si>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</si>
  <si>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</si>
  <si>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</si>
  <si>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</si>
  <si>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</si>
  <si>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</si>
  <si>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</si>
  <si>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</si>
  <si>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</si>
  <si>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</si>
  <si>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</si>
  <si>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</si>
  <si>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</si>
  <si>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</si>
  <si>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</si>
  <si>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</si>
  <si>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</si>
  <si>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</si>
  <si>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</si>
  <si>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</si>
  <si>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</si>
  <si>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</si>
  <si>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</si>
  <si>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</si>
  <si>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</si>
  <si>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</si>
  <si>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</si>
  <si>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</si>
  <si>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</si>
  <si>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</si>
  <si>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</si>
  <si>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</si>
  <si>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</si>
  <si>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</si>
  <si>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</si>
  <si>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</si>
  <si>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</si>
  <si>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</si>
  <si>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</si>
  <si>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</si>
  <si>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</si>
  <si>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</si>
  <si>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</si>
  <si>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</si>
  <si>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</si>
  <si>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</si>
  <si>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</si>
  <si>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</si>
  <si>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</si>
  <si>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</si>
  <si>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</si>
  <si>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</si>
  <si>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</si>
  <si>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</si>
  <si>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</si>
  <si>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</si>
  <si>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</si>
  <si>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</si>
  <si>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</si>
  <si>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</si>
  <si>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</si>
  <si>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</si>
  <si>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</si>
  <si>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</si>
  <si>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</si>
  <si>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</si>
  <si>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</si>
  <si>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</si>
  <si>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</si>
  <si>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</si>
  <si>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</si>
  <si>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</si>
  <si>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Stadtwerke Lippstadt GmbH</t>
  </si>
  <si>
    <t>9870017800003</t>
  </si>
  <si>
    <t>Bunsenstraße 2</t>
  </si>
  <si>
    <t>Lippstadt</t>
  </si>
  <si>
    <t>Herr Michael Feller</t>
  </si>
  <si>
    <t>netznutzung@stadtwerke-lippstadt.de</t>
  </si>
  <si>
    <t>02941/28 29-251</t>
  </si>
  <si>
    <t>GASPOOLNH7001781</t>
  </si>
  <si>
    <t>Lippstadt-Bökenförde</t>
  </si>
  <si>
    <t>H377</t>
  </si>
  <si>
    <t>DE_GHA04</t>
  </si>
  <si>
    <t>DE_GKO04</t>
  </si>
  <si>
    <t>DE_GMK04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</si>
</sst>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4" sqref="B4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466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t="s">
        <v>339</v>
      </c>
    </row>
    <row r="8" spans="2:7" s="8" customFormat="1">
      <c r="B8" s="8" t="s">
        <v>463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499</v>
      </c>
    </row>
    <row r="12" spans="2:7" s="8" customFormat="1">
      <c r="B12" s="8" t="s">
        <v>500</v>
      </c>
    </row>
    <row r="13" spans="2:7" s="8" customFormat="1">
      <c r="B13" s="8" t="s">
        <v>506</v>
      </c>
    </row>
    <row r="14" spans="2:7" s="8" customFormat="1"/>
    <row r="15" spans="2:7">
      <c r="B15" s="20" t="s">
        <v>465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464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42205</v>
      </c>
      <c r="E29" s="8"/>
      <c r="F29" s="8"/>
      <c r="G29" s="8"/>
      <c r="H29" s="8"/>
    </row>
    <row r="30" spans="2:12">
      <c r="B30" s="21" t="s">
        <v>349</v>
      </c>
      <c r="C30" s="327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4" sqref="C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42736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486</v>
      </c>
      <c r="D11" s="331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59557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460</v>
      </c>
      <c r="D27" s="42" t="s">
        <v>397</v>
      </c>
      <c r="E27" s="39"/>
      <c r="F27" s="11"/>
    </row>
    <row r="28" spans="1:15">
      <c r="B28" s="15"/>
      <c r="C28" s="65" t="s">
        <v>502</v>
      </c>
      <c r="D28" s="48" t="str">
        <f>IF(D27&lt;&gt;C28,VLOOKUP(D27,$C$29:$D$48,2,FALSE),C28)</f>
        <v>Lippstadt</v>
      </c>
      <c r="E28" s="38"/>
      <c r="F28" s="11"/>
      <c r="G28" s="2"/>
    </row>
    <row r="29" spans="1:15">
      <c r="B29" s="15"/>
      <c r="C29" s="22" t="s">
        <v>397</v>
      </c>
      <c r="D29" s="45" t="s">
        <v>660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432</v>
      </c>
      <c r="D38" s="46"/>
      <c r="E38" s="40"/>
      <c r="F38" s="47"/>
      <c r="G38" s="2"/>
    </row>
    <row r="39" spans="2:7">
      <c r="B39" s="15"/>
      <c r="C39" s="22" t="s">
        <v>433</v>
      </c>
      <c r="D39" s="46"/>
      <c r="E39" s="40"/>
      <c r="F39" s="47"/>
      <c r="G39" s="2"/>
    </row>
    <row r="40" spans="2:7">
      <c r="B40" s="15"/>
      <c r="C40" s="22" t="s">
        <v>434</v>
      </c>
      <c r="D40" s="46"/>
      <c r="E40" s="40"/>
      <c r="F40" s="47"/>
      <c r="G40" s="2"/>
    </row>
    <row r="41" spans="2:7">
      <c r="B41" s="15"/>
      <c r="C41" s="22" t="s">
        <v>435</v>
      </c>
      <c r="D41" s="46"/>
      <c r="E41" s="40"/>
      <c r="F41" s="47"/>
      <c r="G41" s="2"/>
    </row>
    <row r="42" spans="2:7">
      <c r="B42" s="15"/>
      <c r="C42" s="22" t="s">
        <v>436</v>
      </c>
      <c r="D42" s="46"/>
      <c r="E42" s="40"/>
      <c r="F42" s="47"/>
      <c r="G42" s="2"/>
    </row>
    <row r="43" spans="2:7">
      <c r="B43" s="15"/>
      <c r="C43" s="22" t="s">
        <v>437</v>
      </c>
      <c r="D43" s="46"/>
      <c r="E43" s="40"/>
      <c r="F43" s="47"/>
      <c r="G43" s="2"/>
    </row>
    <row r="44" spans="2:7">
      <c r="B44" s="15"/>
      <c r="C44" s="22" t="s">
        <v>438</v>
      </c>
      <c r="D44" s="46"/>
      <c r="E44" s="40"/>
      <c r="F44" s="47"/>
      <c r="G44" s="2"/>
    </row>
    <row r="45" spans="2:7">
      <c r="B45" s="15"/>
      <c r="C45" s="22" t="s">
        <v>439</v>
      </c>
      <c r="D45" s="46"/>
      <c r="E45" s="40"/>
      <c r="F45" s="47"/>
      <c r="G45" s="2"/>
    </row>
    <row r="46" spans="2:7">
      <c r="B46" s="15"/>
      <c r="C46" s="22" t="s">
        <v>440</v>
      </c>
      <c r="D46" s="46"/>
      <c r="E46" s="40"/>
      <c r="F46" s="47"/>
    </row>
    <row r="47" spans="2:7">
      <c r="B47" s="15"/>
      <c r="C47" s="22" t="s">
        <v>441</v>
      </c>
      <c r="D47" s="46"/>
      <c r="E47" s="40"/>
      <c r="F47" s="47"/>
    </row>
    <row r="48" spans="2:7">
      <c r="B48" s="15"/>
      <c r="C48" s="22" t="s">
        <v>442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B2" sqref="B2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446</v>
      </c>
      <c r="D5" s="58" t="str">
        <f>Netzbetreiber!$D$9</f>
        <v>Stadtwerke Lippstadt GmbH</v>
      </c>
      <c r="H5" s="67"/>
      <c r="I5" s="67"/>
      <c r="J5" s="67"/>
      <c r="K5" s="67"/>
    </row>
    <row r="6" spans="2:15" ht="15" customHeight="1">
      <c r="B6" s="22"/>
      <c r="C6" s="61" t="s">
        <v>445</v>
      </c>
      <c r="D6" s="58" t="str">
        <f>Netzbetreiber!D28</f>
        <v>Lippstadt</v>
      </c>
      <c r="E6" s="15"/>
      <c r="H6" s="67"/>
      <c r="I6" s="67"/>
      <c r="J6" s="67"/>
      <c r="K6" s="67"/>
    </row>
    <row r="7" spans="2:15" ht="15" customHeight="1">
      <c r="B7" s="22"/>
      <c r="C7" s="60" t="s">
        <v>488</v>
      </c>
      <c r="D7" s="328" t="str">
        <f>Netzbetreiber!$D$11</f>
        <v>9870017800003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615</v>
      </c>
      <c r="D13" s="33" t="s">
        <v>616</v>
      </c>
      <c r="E13" s="15"/>
      <c r="H13" s="271" t="s">
        <v>616</v>
      </c>
      <c r="I13" s="271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431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430</v>
      </c>
      <c r="D16" s="42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575</v>
      </c>
      <c r="I19" s="270" t="s">
        <v>489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490</v>
      </c>
      <c r="I20" s="270" t="s">
        <v>491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613</v>
      </c>
      <c r="D22" s="49" t="s">
        <v>609</v>
      </c>
      <c r="E22" s="15"/>
      <c r="H22" s="267" t="s">
        <v>609</v>
      </c>
      <c r="I22" s="267" t="s">
        <v>610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7" t="s">
        <v>612</v>
      </c>
      <c r="I23" s="8" t="s">
        <v>608</v>
      </c>
      <c r="J23" s="8"/>
      <c r="K23" s="8"/>
      <c r="L23" s="268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7" t="s">
        <v>611</v>
      </c>
      <c r="I24" s="267" t="s">
        <v>618</v>
      </c>
      <c r="J24" s="8"/>
      <c r="K24" s="8"/>
      <c r="L24" s="270" t="s">
        <v>619</v>
      </c>
      <c r="M24" s="270" t="s">
        <v>621</v>
      </c>
      <c r="N24" s="270" t="s">
        <v>620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372</v>
      </c>
      <c r="C26" s="6" t="s">
        <v>578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622</v>
      </c>
      <c r="D27" s="42" t="s">
        <v>623</v>
      </c>
      <c r="E27" s="15"/>
      <c r="H27" s="297" t="s">
        <v>623</v>
      </c>
      <c r="I27" s="269" t="s">
        <v>624</v>
      </c>
      <c r="J27" s="269" t="s">
        <v>625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626</v>
      </c>
      <c r="I28" s="270" t="s">
        <v>627</v>
      </c>
      <c r="J28" s="270" t="s">
        <v>628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629</v>
      </c>
      <c r="I29" s="270" t="s">
        <v>630</v>
      </c>
      <c r="J29" s="270" t="s">
        <v>631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494</v>
      </c>
      <c r="C31" s="6" t="s">
        <v>577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632</v>
      </c>
      <c r="I32" s="270" t="s">
        <v>633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634</v>
      </c>
      <c r="I33" s="267" t="s">
        <v>629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549</v>
      </c>
      <c r="C35" s="24" t="s">
        <v>496</v>
      </c>
      <c r="D35" s="42">
        <v>6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550</v>
      </c>
      <c r="C37" s="5" t="s">
        <v>367</v>
      </c>
      <c r="D37" s="34">
        <v>1500000</v>
      </c>
      <c r="E37" s="15" t="s">
        <v>507</v>
      </c>
      <c r="I37" s="267"/>
      <c r="J37" s="267"/>
      <c r="K37" s="267"/>
      <c r="L37" s="267"/>
      <c r="M37" s="268"/>
    </row>
    <row r="38" spans="2:39" customFormat="1" ht="15" customHeight="1">
      <c r="C38" s="8" t="s">
        <v>492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368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493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665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C2" sqref="C2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544</v>
      </c>
    </row>
    <row r="3" spans="2:56" ht="15" customHeight="1">
      <c r="B3" s="170"/>
    </row>
    <row r="4" spans="2:56">
      <c r="B4" s="129"/>
      <c r="C4" s="56" t="s">
        <v>446</v>
      </c>
      <c r="D4" s="57"/>
      <c r="E4" s="330" t="str">
        <f>Netzbetreiber!D9</f>
        <v>Stadtwerke Lippstadt GmbH</v>
      </c>
      <c r="F4" s="330"/>
      <c r="G4" s="330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Netzbetreiber!D28</f>
        <v>Lippstadt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488</v>
      </c>
      <c r="D6" s="57"/>
      <c r="E6" s="329" t="str">
        <f>Netzbetreiber!D11</f>
        <v>9870017800003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498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523</v>
      </c>
      <c r="D9" s="129"/>
      <c r="E9" s="129"/>
      <c r="F9" s="153">
        <f>'SLP-Verfahren'!D46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585</v>
      </c>
      <c r="D10" s="129"/>
      <c r="E10" s="129"/>
      <c r="F10" s="49">
        <v>1</v>
      </c>
      <c r="G10" s="57"/>
      <c r="H10" s="171" t="s">
        <v>602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603</v>
      </c>
      <c r="D11" s="129"/>
      <c r="E11" s="129"/>
      <c r="F11" s="333" t="str">
        <f>INDEX('SLP-Verfahren'!D48:D62,'SLP-Temp-Gebiet #01'!F10)</f>
        <v>Lippstadt-Bökenförde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584</v>
      </c>
      <c r="D13" s="342"/>
      <c r="E13" s="342"/>
      <c r="F13" s="181" t="s">
        <v>548</v>
      </c>
      <c r="G13" s="129" t="s">
        <v>546</v>
      </c>
      <c r="H13" s="261" t="s">
        <v>563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449</v>
      </c>
      <c r="D14" s="343"/>
      <c r="E14" s="89" t="s">
        <v>450</v>
      </c>
      <c r="F14" s="262" t="s">
        <v>85</v>
      </c>
      <c r="G14" s="263" t="s">
        <v>572</v>
      </c>
      <c r="H14" s="51">
        <v>0</v>
      </c>
      <c r="I14" s="57"/>
      <c r="J14" s="129"/>
      <c r="K14" s="129"/>
      <c r="L14" s="129"/>
      <c r="M14" s="129"/>
      <c r="N14" s="129"/>
      <c r="O14" s="332" t="s">
        <v>651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29"/>
      <c r="C15" s="343" t="s">
        <v>389</v>
      </c>
      <c r="D15" s="343"/>
      <c r="E15" s="89" t="s">
        <v>450</v>
      </c>
      <c r="F15" s="262" t="s">
        <v>71</v>
      </c>
      <c r="G15" s="263" t="s">
        <v>566</v>
      </c>
      <c r="H15" s="51">
        <v>0</v>
      </c>
      <c r="I15" s="57"/>
      <c r="J15" s="129"/>
      <c r="K15" s="129"/>
      <c r="L15" s="129"/>
      <c r="M15" s="129"/>
      <c r="N15" s="129"/>
      <c r="O15" s="160" t="s">
        <v>139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494</v>
      </c>
      <c r="AI15" s="260" t="s">
        <v>549</v>
      </c>
      <c r="AJ15" s="260" t="s">
        <v>550</v>
      </c>
      <c r="AK15" s="260" t="s">
        <v>551</v>
      </c>
      <c r="AL15" s="260" t="s">
        <v>552</v>
      </c>
      <c r="AM15" s="260" t="s">
        <v>553</v>
      </c>
      <c r="AN15" s="260" t="s">
        <v>554</v>
      </c>
      <c r="AO15" s="260" t="s">
        <v>555</v>
      </c>
      <c r="AP15" s="260" t="s">
        <v>556</v>
      </c>
      <c r="AQ15" s="260" t="s">
        <v>557</v>
      </c>
      <c r="AR15" s="260" t="s">
        <v>558</v>
      </c>
      <c r="AS15" s="260" t="s">
        <v>559</v>
      </c>
      <c r="AT15" s="260" t="s">
        <v>560</v>
      </c>
      <c r="AU15" s="260" t="s">
        <v>561</v>
      </c>
      <c r="AV15" s="260" t="s">
        <v>562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518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524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519</v>
      </c>
      <c r="D20" s="178" t="s">
        <v>514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526</v>
      </c>
      <c r="D21" s="152" t="s">
        <v>516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537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503</v>
      </c>
      <c r="T23" s="288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521</v>
      </c>
      <c r="D24" s="186"/>
      <c r="E24" s="155" t="s">
        <v>665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522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515</v>
      </c>
      <c r="D25" s="186"/>
      <c r="E25" s="159" t="s">
        <v>666</v>
      </c>
      <c r="F25" s="159" t="s">
        <v>365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/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520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527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533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2" t="s">
        <v>362</v>
      </c>
      <c r="E33" s="155" t="s">
        <v>3</v>
      </c>
      <c r="F33" s="155" t="s">
        <v>361</v>
      </c>
      <c r="G33" s="155" t="s">
        <v>352</v>
      </c>
      <c r="H33" s="155" t="s">
        <v>353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452</v>
      </c>
      <c r="D34" s="152" t="s">
        <v>451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3" t="s">
        <v>142</v>
      </c>
      <c r="Q35" s="209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538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525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534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579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543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519</v>
      </c>
      <c r="D54" s="178" t="s">
        <v>514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526</v>
      </c>
      <c r="D55" s="152" t="s">
        <v>516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537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521</v>
      </c>
      <c r="D58" s="186"/>
      <c r="E58" s="155" t="str">
        <f>E24</f>
        <v>Lippstadt-Bökenförde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522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515</v>
      </c>
      <c r="D59" s="186"/>
      <c r="E59" s="159" t="str">
        <f>E25</f>
        <v>H377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>
        <f>E26</f>
        <v>0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527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533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363</v>
      </c>
      <c r="D67" s="152" t="s">
        <v>362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605</v>
      </c>
      <c r="D69" s="152" t="s">
        <v>606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444</v>
      </c>
      <c r="D70" s="118" t="s">
        <v>538</v>
      </c>
      <c r="E70" s="162" t="s">
        <v>454</v>
      </c>
      <c r="F70" s="162" t="s">
        <v>454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580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3 E69:N69 F25:N25 F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544</v>
      </c>
    </row>
    <row r="3" spans="2:56" ht="15" customHeight="1">
      <c r="B3" s="170"/>
    </row>
    <row r="4" spans="2:56">
      <c r="B4" s="129"/>
      <c r="C4" s="56" t="s">
        <v>446</v>
      </c>
      <c r="D4" s="57"/>
      <c r="E4" s="330" t="str">
        <f>Netzbetreiber!$D$9</f>
        <v>Stadtwerke Lippstadt GmbH</v>
      </c>
      <c r="F4" s="129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Netzbetreiber!$D$28</f>
        <v>Lippstadt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488</v>
      </c>
      <c r="D6" s="57"/>
      <c r="E6" s="329" t="str">
        <f>Netzbetreiber!$D$11</f>
        <v>9870017800003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498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523</v>
      </c>
      <c r="D9" s="129"/>
      <c r="E9" s="129"/>
      <c r="F9" s="153">
        <f>'SLP-Verfahren'!D46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585</v>
      </c>
      <c r="D10" s="129"/>
      <c r="E10" s="129"/>
      <c r="F10" s="49">
        <v>2</v>
      </c>
      <c r="G10" s="57"/>
      <c r="H10" s="171" t="s">
        <v>602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603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584</v>
      </c>
      <c r="D13" s="342"/>
      <c r="E13" s="342"/>
      <c r="F13" s="181" t="s">
        <v>548</v>
      </c>
      <c r="G13" s="129" t="s">
        <v>546</v>
      </c>
      <c r="H13" s="261" t="s">
        <v>563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449</v>
      </c>
      <c r="D14" s="343"/>
      <c r="E14" s="89" t="s">
        <v>450</v>
      </c>
      <c r="F14" s="262" t="s">
        <v>85</v>
      </c>
      <c r="G14" s="263" t="s">
        <v>572</v>
      </c>
      <c r="H14" s="51">
        <v>0</v>
      </c>
      <c r="I14" s="57"/>
      <c r="J14" s="129"/>
      <c r="K14" s="129"/>
      <c r="L14" s="129"/>
      <c r="M14" s="129"/>
      <c r="N14" s="129"/>
      <c r="O14" s="332" t="s">
        <v>651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29"/>
      <c r="C15" s="343" t="s">
        <v>389</v>
      </c>
      <c r="D15" s="343"/>
      <c r="E15" s="89" t="s">
        <v>450</v>
      </c>
      <c r="F15" s="262" t="s">
        <v>71</v>
      </c>
      <c r="G15" s="263" t="s">
        <v>566</v>
      </c>
      <c r="H15" s="51">
        <v>0</v>
      </c>
      <c r="I15" s="57"/>
      <c r="J15" s="129"/>
      <c r="K15" s="129"/>
      <c r="L15" s="129"/>
      <c r="M15" s="129"/>
      <c r="N15" s="129"/>
      <c r="O15" s="160" t="s">
        <v>528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494</v>
      </c>
      <c r="AI15" s="260" t="s">
        <v>549</v>
      </c>
      <c r="AJ15" s="260" t="s">
        <v>550</v>
      </c>
      <c r="AK15" s="260" t="s">
        <v>551</v>
      </c>
      <c r="AL15" s="260" t="s">
        <v>552</v>
      </c>
      <c r="AM15" s="260" t="s">
        <v>553</v>
      </c>
      <c r="AN15" s="260" t="s">
        <v>554</v>
      </c>
      <c r="AO15" s="260" t="s">
        <v>555</v>
      </c>
      <c r="AP15" s="260" t="s">
        <v>556</v>
      </c>
      <c r="AQ15" s="260" t="s">
        <v>557</v>
      </c>
      <c r="AR15" s="260" t="s">
        <v>558</v>
      </c>
      <c r="AS15" s="260" t="s">
        <v>559</v>
      </c>
      <c r="AT15" s="260" t="s">
        <v>560</v>
      </c>
      <c r="AU15" s="260" t="s">
        <v>561</v>
      </c>
      <c r="AV15" s="260" t="s">
        <v>562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518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524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519</v>
      </c>
      <c r="D20" s="178" t="s">
        <v>514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526</v>
      </c>
      <c r="D21" s="152" t="s">
        <v>516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537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503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521</v>
      </c>
      <c r="D24" s="186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522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515</v>
      </c>
      <c r="D25" s="186"/>
      <c r="E25" s="159" t="s">
        <v>365</v>
      </c>
      <c r="F25" s="159" t="s">
        <v>365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520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527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533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2" t="s">
        <v>362</v>
      </c>
      <c r="E33" s="155" t="s">
        <v>3</v>
      </c>
      <c r="F33" s="155" t="s">
        <v>361</v>
      </c>
      <c r="G33" s="155" t="s">
        <v>352</v>
      </c>
      <c r="H33" s="155" t="s">
        <v>353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452</v>
      </c>
      <c r="D34" s="152" t="s">
        <v>451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3" t="s">
        <v>142</v>
      </c>
      <c r="Q35" s="209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538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525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534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579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519</v>
      </c>
      <c r="D54" s="178" t="s">
        <v>514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526</v>
      </c>
      <c r="D55" s="152" t="s">
        <v>516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537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521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522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515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527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533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363</v>
      </c>
      <c r="D67" s="152" t="s">
        <v>362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444</v>
      </c>
      <c r="D70" s="118" t="s">
        <v>538</v>
      </c>
      <c r="E70" s="162" t="s">
        <v>454</v>
      </c>
      <c r="F70" s="162" t="s">
        <v>454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580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B2" sqref="B2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366</v>
      </c>
    </row>
    <row r="3" spans="2:26">
      <c r="B3" s="129" t="s">
        <v>467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371</v>
      </c>
      <c r="D5" s="54" t="str">
        <f>Netzbetreiber!$D$9</f>
        <v>Stadtwerke Lippstadt GmbH</v>
      </c>
      <c r="E5" s="129"/>
      <c r="J5" s="88" t="s">
        <v>498</v>
      </c>
      <c r="K5" s="130" t="s">
        <v>501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Lippstadt</v>
      </c>
      <c r="E6" s="129"/>
      <c r="F6" s="129"/>
      <c r="K6" s="130" t="s">
        <v>509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488</v>
      </c>
      <c r="D7" s="54" t="str">
        <f>Netzbetreiber!$D$11</f>
        <v>9870017800003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496</v>
      </c>
      <c r="J8" s="131">
        <f>COUNTA(D12:D100)</f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495</v>
      </c>
      <c r="D10" s="133" t="s">
        <v>147</v>
      </c>
      <c r="E10" s="272" t="s">
        <v>511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294" t="s">
        <v>648</v>
      </c>
    </row>
    <row r="11" spans="2:26" ht="15.75" thickBot="1">
      <c r="B11" s="138" t="s">
        <v>497</v>
      </c>
      <c r="C11" s="139" t="s">
        <v>510</v>
      </c>
      <c r="D11" s="293" t="s">
        <v>247</v>
      </c>
      <c r="E11" s="163" t="s">
        <v>517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17" si="0">$D$6</f>
        <v>Lippstadt</v>
      </c>
      <c r="D12" s="62" t="s">
        <v>247</v>
      </c>
      <c r="E12" s="164" t="s">
        <v>667</v>
      </c>
      <c r="F12" s="296" t="str">
        <f>VLOOKUP($E12,'BDEW-Standard'!$B$3:$M$158,F$9,0)</f>
        <v>HA4</v>
      </c>
      <c r="H12" s="273">
        <f>ROUND(VLOOKUP($E12,'BDEW-Standard'!$B$3:$M$158,H$9,0),7)</f>
        <v>4.0196902000000003</v>
      </c>
      <c r="I12" s="273">
        <f>ROUND(VLOOKUP($E12,'BDEW-Standard'!$B$3:$M$158,I$9,0),7)</f>
        <v>-37.828203700000003</v>
      </c>
      <c r="J12" s="273">
        <f>ROUND(VLOOKUP($E12,'BDEW-Standard'!$B$3:$M$158,J$9,0),7)</f>
        <v>8.1593368999999996</v>
      </c>
      <c r="K12" s="273">
        <f>ROUND(VLOOKUP($E12,'BDEW-Standard'!$B$3:$M$158,K$9,0),7)</f>
        <v>4.72845E-2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17" si="1">($H12/(1+($I12/($Q$9-$L12))^$J12)+$K12)+MAX($M12*$Q$9+$N12,$O12*$Q$9+$P12)</f>
        <v>0.86486713303260787</v>
      </c>
      <c r="R12" s="274">
        <f>ROUND(VLOOKUP(MID($E12,4,3),'Wochentag F(WT)'!$B$7:$J$22,R$9,0),4)</f>
        <v>1.0358000000000001</v>
      </c>
      <c r="S12" s="274">
        <f>ROUND(VLOOKUP(MID($E12,4,3),'Wochentag F(WT)'!$B$7:$J$22,S$9,0),4)</f>
        <v>1.0232000000000001</v>
      </c>
      <c r="T12" s="274">
        <f>ROUND(VLOOKUP(MID($E12,4,3),'Wochentag F(WT)'!$B$7:$J$22,T$9,0),4)</f>
        <v>1.0251999999999999</v>
      </c>
      <c r="U12" s="274">
        <f>ROUND(VLOOKUP(MID($E12,4,3),'Wochentag F(WT)'!$B$7:$J$22,U$9,0),4)</f>
        <v>1.0295000000000001</v>
      </c>
      <c r="V12" s="274">
        <f>ROUND(VLOOKUP(MID($E12,4,3),'Wochentag F(WT)'!$B$7:$J$22,V$9,0),4)</f>
        <v>1.0253000000000001</v>
      </c>
      <c r="W12" s="274">
        <f>ROUND(VLOOKUP(MID($E12,4,3),'Wochentag F(WT)'!$B$7:$J$22,W$9,0),4)</f>
        <v>0.96750000000000003</v>
      </c>
      <c r="X12" s="275">
        <f>7-SUM(R12:W12)</f>
        <v>0.89350000000000041</v>
      </c>
      <c r="Y12" s="292"/>
      <c r="Z12" s="210"/>
    </row>
    <row r="13" spans="2:26" s="142" customFormat="1">
      <c r="B13" s="143">
        <v>2</v>
      </c>
      <c r="C13" s="144" t="str">
        <f t="shared" si="0"/>
        <v>Lippstadt</v>
      </c>
      <c r="D13" s="62" t="s">
        <v>247</v>
      </c>
      <c r="E13" s="164" t="s">
        <v>4</v>
      </c>
      <c r="F13" s="296" t="str">
        <f>VLOOKUP($E13,'BDEW-Standard'!$B$3:$M$158,F$9,0)</f>
        <v>HK3</v>
      </c>
      <c r="H13" s="273">
        <f>ROUND(VLOOKUP($E13,'BDEW-Standard'!$B$3:$M$158,H$9,0),7)</f>
        <v>0.40409319999999999</v>
      </c>
      <c r="I13" s="273">
        <f>ROUND(VLOOKUP($E13,'BDEW-Standard'!$B$3:$M$158,I$9,0),7)</f>
        <v>-24.439296800000001</v>
      </c>
      <c r="J13" s="273">
        <f>ROUND(VLOOKUP($E13,'BDEW-Standard'!$B$3:$M$158,J$9,0),7)</f>
        <v>6.5718174999999999</v>
      </c>
      <c r="K13" s="273">
        <f>ROUND(VLOOKUP($E13,'BDEW-Standard'!$B$3:$M$158,K$9,0),7)</f>
        <v>0.71077100000000004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1.0561214000512988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17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Lippstadt</v>
      </c>
      <c r="D14" s="62" t="s">
        <v>247</v>
      </c>
      <c r="E14" s="164" t="s">
        <v>668</v>
      </c>
      <c r="F14" s="296" t="str">
        <f>VLOOKUP($E14,'BDEW-Standard'!$B$3:$M$158,F$9,0)</f>
        <v>KO4</v>
      </c>
      <c r="H14" s="273">
        <f>ROUND(VLOOKUP($E14,'BDEW-Standard'!$B$3:$M$158,H$9,0),7)</f>
        <v>3.4428942999999999</v>
      </c>
      <c r="I14" s="273">
        <f>ROUND(VLOOKUP($E14,'BDEW-Standard'!$B$3:$M$158,I$9,0),7)</f>
        <v>-36.659050399999998</v>
      </c>
      <c r="J14" s="273">
        <f>ROUND(VLOOKUP($E14,'BDEW-Standard'!$B$3:$M$158,J$9,0),7)</f>
        <v>7.6083226000000002</v>
      </c>
      <c r="K14" s="273">
        <f>ROUND(VLOOKUP($E14,'BDEW-Standard'!$B$3:$M$158,K$9,0),7)</f>
        <v>7.4685000000000001E-2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0.97768382110526542</v>
      </c>
      <c r="R14" s="274">
        <f>ROUND(VLOOKUP(MID($E14,4,3),'Wochentag F(WT)'!$B$7:$J$22,R$9,0),4)</f>
        <v>1.0354000000000001</v>
      </c>
      <c r="S14" s="274">
        <f>ROUND(VLOOKUP(MID($E14,4,3),'Wochentag F(WT)'!$B$7:$J$22,S$9,0),4)</f>
        <v>1.0523</v>
      </c>
      <c r="T14" s="274">
        <f>ROUND(VLOOKUP(MID($E14,4,3),'Wochentag F(WT)'!$B$7:$J$22,T$9,0),4)</f>
        <v>1.0448999999999999</v>
      </c>
      <c r="U14" s="274">
        <f>ROUND(VLOOKUP(MID($E14,4,3),'Wochentag F(WT)'!$B$7:$J$22,U$9,0),4)</f>
        <v>1.0494000000000001</v>
      </c>
      <c r="V14" s="274">
        <f>ROUND(VLOOKUP(MID($E14,4,3),'Wochentag F(WT)'!$B$7:$J$22,V$9,0),4)</f>
        <v>0.98850000000000005</v>
      </c>
      <c r="W14" s="274">
        <f>ROUND(VLOOKUP(MID($E14,4,3),'Wochentag F(WT)'!$B$7:$J$22,W$9,0),4)</f>
        <v>0.88600000000000001</v>
      </c>
      <c r="X14" s="275">
        <f t="shared" si="2"/>
        <v>0.94349999999999934</v>
      </c>
      <c r="Y14" s="292"/>
      <c r="Z14" s="210"/>
    </row>
    <row r="15" spans="2:26" s="142" customFormat="1">
      <c r="B15" s="143">
        <v>4</v>
      </c>
      <c r="C15" s="144" t="str">
        <f t="shared" si="0"/>
        <v>Lippstadt</v>
      </c>
      <c r="D15" s="62" t="s">
        <v>247</v>
      </c>
      <c r="E15" s="164" t="s">
        <v>669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Lippstadt</v>
      </c>
      <c r="D16" s="62" t="s">
        <v>247</v>
      </c>
      <c r="E16" s="164" t="s">
        <v>25</v>
      </c>
      <c r="F16" s="296" t="str">
        <f>VLOOKUP($E16,'BDEW-Standard'!$B$3:$M$158,F$9,0)</f>
        <v>N14</v>
      </c>
      <c r="H16" s="273">
        <f>ROUND(VLOOKUP($E16,'BDEW-Standard'!$B$3:$M$158,H$9,0),7)</f>
        <v>3.1935978</v>
      </c>
      <c r="I16" s="273">
        <f>ROUND(VLOOKUP($E16,'BDEW-Standard'!$B$3:$M$158,I$9,0),7)</f>
        <v>-37.414247799999998</v>
      </c>
      <c r="J16" s="273">
        <f>ROUND(VLOOKUP($E16,'BDEW-Standard'!$B$3:$M$158,J$9,0),7)</f>
        <v>6.1824021</v>
      </c>
      <c r="K16" s="273">
        <f>ROUND(VLOOKUP($E16,'BDEW-Standard'!$B$3:$M$158,K$9,0),7)</f>
        <v>6.4760499999999999E-2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0.94490761186795624</v>
      </c>
      <c r="R16" s="274">
        <f>ROUND(VLOOKUP(MID($E16,4,3),'Wochentag F(WT)'!$B$7:$J$22,R$9,0),4)</f>
        <v>1</v>
      </c>
      <c r="S16" s="274">
        <f>ROUND(VLOOKUP(MID($E16,4,3),'Wochentag F(WT)'!$B$7:$J$22,S$9,0),4)</f>
        <v>1</v>
      </c>
      <c r="T16" s="274">
        <f>ROUND(VLOOKUP(MID($E16,4,3),'Wochentag F(WT)'!$B$7:$J$22,T$9,0),4)</f>
        <v>1</v>
      </c>
      <c r="U16" s="274">
        <f>ROUND(VLOOKUP(MID($E16,4,3),'Wochentag F(WT)'!$B$7:$J$22,U$9,0),4)</f>
        <v>1</v>
      </c>
      <c r="V16" s="274">
        <f>ROUND(VLOOKUP(MID($E16,4,3),'Wochentag F(WT)'!$B$7:$J$22,V$9,0),4)</f>
        <v>1</v>
      </c>
      <c r="W16" s="274">
        <f>ROUND(VLOOKUP(MID($E16,4,3),'Wochentag F(WT)'!$B$7:$J$22,W$9,0),4)</f>
        <v>1</v>
      </c>
      <c r="X16" s="275">
        <f t="shared" si="2"/>
        <v>1</v>
      </c>
      <c r="Y16" s="292"/>
      <c r="Z16" s="210"/>
    </row>
    <row r="17" spans="2:26" s="142" customFormat="1">
      <c r="B17" s="143">
        <v>6</v>
      </c>
      <c r="C17" s="144" t="str">
        <f t="shared" si="0"/>
        <v>Lippstadt</v>
      </c>
      <c r="D17" s="62" t="s">
        <v>247</v>
      </c>
      <c r="E17" s="164" t="s">
        <v>33</v>
      </c>
      <c r="F17" s="296" t="str">
        <f>VLOOKUP($E17,'BDEW-Standard'!$B$3:$M$158,F$9,0)</f>
        <v>N24</v>
      </c>
      <c r="H17" s="273">
        <f>ROUND(VLOOKUP($E17,'BDEW-Standard'!$B$3:$M$158,H$9,0),7)</f>
        <v>2.529738</v>
      </c>
      <c r="I17" s="273">
        <f>ROUND(VLOOKUP($E17,'BDEW-Standard'!$B$3:$M$158,I$9,0),7)</f>
        <v>-35.0300145</v>
      </c>
      <c r="J17" s="273">
        <f>ROUND(VLOOKUP($E17,'BDEW-Standard'!$B$3:$M$158,J$9,0),7)</f>
        <v>6.2051109000000002</v>
      </c>
      <c r="K17" s="273">
        <f>ROUND(VLOOKUP($E17,'BDEW-Standard'!$B$3:$M$158,K$9,0),7)</f>
        <v>8.4524100000000005E-2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1.0034007991768874</v>
      </c>
      <c r="R17" s="274">
        <f>ROUND(VLOOKUP(MID($E17,4,3),'Wochentag F(WT)'!$B$7:$J$22,R$9,0),4)</f>
        <v>1</v>
      </c>
      <c r="S17" s="274">
        <f>ROUND(VLOOKUP(MID($E17,4,3),'Wochentag F(WT)'!$B$7:$J$22,S$9,0),4)</f>
        <v>1</v>
      </c>
      <c r="T17" s="274">
        <f>ROUND(VLOOKUP(MID($E17,4,3),'Wochentag F(WT)'!$B$7:$J$22,T$9,0),4)</f>
        <v>1</v>
      </c>
      <c r="U17" s="274">
        <f>ROUND(VLOOKUP(MID($E17,4,3),'Wochentag F(WT)'!$B$7:$J$22,U$9,0),4)</f>
        <v>1</v>
      </c>
      <c r="V17" s="274">
        <f>ROUND(VLOOKUP(MID($E17,4,3),'Wochentag F(WT)'!$B$7:$J$22,V$9,0),4)</f>
        <v>1</v>
      </c>
      <c r="W17" s="274">
        <f>ROUND(VLOOKUP(MID($E17,4,3),'Wochentag F(WT)'!$B$7:$J$22,W$9,0),4)</f>
        <v>1</v>
      </c>
      <c r="X17" s="275">
        <f t="shared" si="2"/>
        <v>1</v>
      </c>
      <c r="Y17" s="292"/>
      <c r="Z17" s="210"/>
    </row>
    <row r="18" spans="2:26" s="142" customFormat="1">
      <c r="B18" s="143">
        <v>7</v>
      </c>
      <c r="C18" s="144"/>
      <c r="D18" s="62"/>
      <c r="E18" s="164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2" customFormat="1">
      <c r="B19" s="143">
        <v>8</v>
      </c>
      <c r="C19" s="144"/>
      <c r="D19" s="62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>
        <v>9</v>
      </c>
      <c r="C20" s="144"/>
      <c r="D20" s="62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>
        <v>10</v>
      </c>
      <c r="C21" s="144"/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>
        <v>11</v>
      </c>
      <c r="C22" s="144"/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>
        <v>12</v>
      </c>
      <c r="C23" s="144"/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>
        <v>13</v>
      </c>
      <c r="C24" s="144"/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/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/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/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/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/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/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/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/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/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/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/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/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/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/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/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/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/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17 Q12:X17 F12:P17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B2" sqref="B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447</v>
      </c>
    </row>
    <row r="3" spans="2:30" ht="15" customHeight="1">
      <c r="B3" s="84"/>
    </row>
    <row r="4" spans="2:30" ht="15" customHeight="1">
      <c r="B4" s="85" t="s">
        <v>446</v>
      </c>
      <c r="C4" s="63" t="str">
        <f>Netzbetreiber!$D$9</f>
        <v>Stadtwerke Lippstadt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445</v>
      </c>
      <c r="C5" s="64" t="str">
        <f>Netzbetreiber!$D$28</f>
        <v>Lippstadt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443</v>
      </c>
      <c r="C6" s="63" t="str">
        <f>Netzbetreiber!$D$11</f>
        <v>9870017800003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459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468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428</v>
      </c>
    </row>
    <row r="10" spans="2:30" ht="72" customHeight="1" thickBot="1">
      <c r="B10" s="350" t="s">
        <v>583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399</v>
      </c>
      <c r="G10" s="348"/>
      <c r="H10" s="348"/>
      <c r="I10" s="348"/>
      <c r="J10" s="348"/>
      <c r="K10" s="348"/>
      <c r="L10" s="349"/>
      <c r="M10" s="96" t="s">
        <v>469</v>
      </c>
      <c r="N10" s="97" t="s">
        <v>470</v>
      </c>
      <c r="O10" s="98" t="s">
        <v>471</v>
      </c>
      <c r="P10" s="99" t="s">
        <v>472</v>
      </c>
      <c r="Q10" s="99" t="s">
        <v>473</v>
      </c>
      <c r="R10" s="99" t="s">
        <v>474</v>
      </c>
      <c r="S10" s="99" t="s">
        <v>475</v>
      </c>
      <c r="T10" s="99" t="s">
        <v>476</v>
      </c>
      <c r="U10" s="99" t="s">
        <v>477</v>
      </c>
      <c r="V10" s="99" t="s">
        <v>478</v>
      </c>
      <c r="W10" s="99" t="s">
        <v>479</v>
      </c>
      <c r="X10" s="99" t="s">
        <v>480</v>
      </c>
      <c r="Y10" s="99" t="s">
        <v>481</v>
      </c>
      <c r="Z10" s="99" t="s">
        <v>482</v>
      </c>
      <c r="AA10" s="99" t="s">
        <v>483</v>
      </c>
      <c r="AB10" s="99" t="s">
        <v>484</v>
      </c>
      <c r="AC10" s="100" t="s">
        <v>485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3">
        <f>MIN(SUMPRODUCT($M$11:$AD$11,M12:AD12),1)</f>
        <v>1</v>
      </c>
      <c r="F12" s="300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401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403</v>
      </c>
      <c r="G13" s="80" t="s">
        <v>403</v>
      </c>
      <c r="H13" s="80" t="s">
        <v>403</v>
      </c>
      <c r="I13" s="80" t="s">
        <v>403</v>
      </c>
      <c r="J13" s="80" t="s">
        <v>403</v>
      </c>
      <c r="K13" s="80" t="s">
        <v>403</v>
      </c>
      <c r="L13" s="81" t="s">
        <v>403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402</v>
      </c>
      <c r="C14" s="116"/>
      <c r="D14" s="111">
        <v>6</v>
      </c>
      <c r="E14" s="304">
        <f t="shared" si="0"/>
        <v>0</v>
      </c>
      <c r="F14" s="301" t="s">
        <v>403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656</v>
      </c>
      <c r="C15" s="116"/>
      <c r="D15" s="111">
        <v>7</v>
      </c>
      <c r="E15" s="304">
        <f t="shared" si="0"/>
        <v>0</v>
      </c>
      <c r="F15" s="301" t="s">
        <v>403</v>
      </c>
      <c r="G15" s="80" t="s">
        <v>403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415</v>
      </c>
      <c r="C16" s="116"/>
      <c r="D16" s="111">
        <v>8</v>
      </c>
      <c r="E16" s="304">
        <f t="shared" si="0"/>
        <v>1</v>
      </c>
      <c r="F16" s="301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416</v>
      </c>
      <c r="C17" s="116"/>
      <c r="D17" s="111">
        <v>9</v>
      </c>
      <c r="E17" s="304">
        <f t="shared" si="0"/>
        <v>1</v>
      </c>
      <c r="F17" s="301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417</v>
      </c>
      <c r="C18" s="116"/>
      <c r="D18" s="111">
        <v>10</v>
      </c>
      <c r="E18" s="304">
        <f t="shared" si="0"/>
        <v>1</v>
      </c>
      <c r="F18" s="301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404</v>
      </c>
      <c r="C19" s="116"/>
      <c r="D19" s="111">
        <v>11</v>
      </c>
      <c r="E19" s="304">
        <f t="shared" si="0"/>
        <v>1</v>
      </c>
      <c r="F19" s="301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649</v>
      </c>
      <c r="C20" s="116"/>
      <c r="D20" s="111">
        <v>12</v>
      </c>
      <c r="E20" s="304">
        <f t="shared" si="0"/>
        <v>1</v>
      </c>
      <c r="F20" s="301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418</v>
      </c>
      <c r="C21" s="116"/>
      <c r="D21" s="111">
        <v>13</v>
      </c>
      <c r="E21" s="304">
        <f t="shared" si="0"/>
        <v>1</v>
      </c>
      <c r="F21" s="301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419</v>
      </c>
      <c r="C22" s="116"/>
      <c r="D22" s="111">
        <v>14</v>
      </c>
      <c r="E22" s="304">
        <f t="shared" si="0"/>
        <v>1</v>
      </c>
      <c r="F22" s="301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655</v>
      </c>
      <c r="C23" s="116"/>
      <c r="D23" s="111">
        <v>15</v>
      </c>
      <c r="E23" s="304">
        <f t="shared" si="0"/>
        <v>0</v>
      </c>
      <c r="F23" s="301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405</v>
      </c>
      <c r="C24" s="116"/>
      <c r="D24" s="111">
        <v>16</v>
      </c>
      <c r="E24" s="304">
        <f t="shared" si="0"/>
        <v>0</v>
      </c>
      <c r="F24" s="301" t="s">
        <v>403</v>
      </c>
      <c r="G24" s="80" t="s">
        <v>403</v>
      </c>
      <c r="H24" s="80" t="s">
        <v>403</v>
      </c>
      <c r="I24" s="80" t="s">
        <v>403</v>
      </c>
      <c r="J24" s="80" t="s">
        <v>403</v>
      </c>
      <c r="K24" s="80" t="s">
        <v>403</v>
      </c>
      <c r="L24" s="81" t="s">
        <v>403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406</v>
      </c>
      <c r="C25" s="116"/>
      <c r="D25" s="111">
        <v>17</v>
      </c>
      <c r="E25" s="304">
        <f t="shared" si="0"/>
        <v>0</v>
      </c>
      <c r="F25" s="301" t="s">
        <v>403</v>
      </c>
      <c r="G25" s="80" t="s">
        <v>403</v>
      </c>
      <c r="H25" s="80" t="s">
        <v>403</v>
      </c>
      <c r="I25" s="80" t="s">
        <v>403</v>
      </c>
      <c r="J25" s="80" t="s">
        <v>403</v>
      </c>
      <c r="K25" s="80" t="s">
        <v>403</v>
      </c>
      <c r="L25" s="81" t="s">
        <v>403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407</v>
      </c>
      <c r="C26" s="116"/>
      <c r="D26" s="111">
        <v>18</v>
      </c>
      <c r="E26" s="304">
        <f t="shared" si="0"/>
        <v>1</v>
      </c>
      <c r="F26" s="301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408</v>
      </c>
      <c r="C27" s="116"/>
      <c r="D27" s="111">
        <v>19</v>
      </c>
      <c r="E27" s="304">
        <f t="shared" si="0"/>
        <v>0</v>
      </c>
      <c r="F27" s="301" t="s">
        <v>403</v>
      </c>
      <c r="G27" s="80" t="s">
        <v>403</v>
      </c>
      <c r="H27" s="80" t="s">
        <v>403</v>
      </c>
      <c r="I27" s="80" t="s">
        <v>403</v>
      </c>
      <c r="J27" s="80" t="s">
        <v>403</v>
      </c>
      <c r="K27" s="80" t="s">
        <v>403</v>
      </c>
      <c r="L27" s="81" t="s">
        <v>403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409</v>
      </c>
      <c r="C28" s="116"/>
      <c r="D28" s="111">
        <v>20</v>
      </c>
      <c r="E28" s="304">
        <f t="shared" si="0"/>
        <v>0</v>
      </c>
      <c r="F28" s="301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410</v>
      </c>
      <c r="C29" s="116"/>
      <c r="D29" s="111">
        <v>21</v>
      </c>
      <c r="E29" s="304">
        <f t="shared" si="0"/>
        <v>0</v>
      </c>
      <c r="F29" s="301" t="s">
        <v>403</v>
      </c>
      <c r="G29" s="80" t="s">
        <v>403</v>
      </c>
      <c r="H29" s="80" t="s">
        <v>403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411</v>
      </c>
      <c r="C30" s="116"/>
      <c r="D30" s="111">
        <v>22</v>
      </c>
      <c r="E30" s="304">
        <f t="shared" si="0"/>
        <v>0</v>
      </c>
      <c r="F30" s="301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412</v>
      </c>
      <c r="C31" s="116"/>
      <c r="D31" s="111">
        <v>23</v>
      </c>
      <c r="E31" s="304">
        <f t="shared" si="0"/>
        <v>1</v>
      </c>
      <c r="F31" s="301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413</v>
      </c>
      <c r="C32" s="116"/>
      <c r="D32" s="111">
        <v>24</v>
      </c>
      <c r="E32" s="304">
        <f t="shared" si="0"/>
        <v>1</v>
      </c>
      <c r="F32" s="301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414</v>
      </c>
      <c r="C33" s="122"/>
      <c r="D33" s="123">
        <v>25</v>
      </c>
      <c r="E33" s="305">
        <f t="shared" si="0"/>
        <v>0</v>
      </c>
      <c r="F33" s="302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348</v>
      </c>
      <c r="B1" s="212">
        <v>42173</v>
      </c>
      <c r="D1" s="130" t="s">
        <v>455</v>
      </c>
      <c r="F1" s="213" t="s">
        <v>545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652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456</v>
      </c>
      <c r="B1" s="127"/>
      <c r="D1" s="213" t="s">
        <v>545</v>
      </c>
    </row>
    <row r="2" spans="1:16">
      <c r="A2" s="233"/>
      <c r="B2" s="232" t="s">
        <v>457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458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369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369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Jörg Brinkmann</cp:lastModifiedBy>
  <cp:lastPrinted>2015-03-20T22:59:10Z</cp:lastPrinted>
  <dcterms:created xsi:type="dcterms:W3CDTF">2015-01-15T05:25:41Z</dcterms:created>
  <dcterms:modified xsi:type="dcterms:W3CDTF">2017-02-07T12:45:07Z</dcterms:modified>
</cp:coreProperties>
</file>